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简历\实习网站资料\"/>
    </mc:Choice>
  </mc:AlternateContent>
  <bookViews>
    <workbookView windowWidth="22188" windowHeight="9180" activeTab="1"/>
  </bookViews>
  <sheets>
    <sheet name="基础信息" sheetId="1" r:id="rId1"/>
    <sheet name="盈利测算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<sst xmlns="http://schemas.openxmlformats.org/spreadsheetml/2006/main" count="323" uniqueCount="216">
  <si>
    <t>飏越科技 — 产能与估值基础信息</t>
  </si>
  <si>
    <t>TMCU逻辑控制器 + 二合一功率单元 | 软银中安方测算</t>
  </si>
  <si>
    <t>融资阶段</t>
  </si>
  <si>
    <t>金额</t>
  </si>
  <si>
    <t>时间节点</t>
  </si>
  <si>
    <t>阶段</t>
  </si>
  <si>
    <t>年份</t>
  </si>
  <si>
    <t>营收目标</t>
  </si>
  <si>
    <t>关键驱动因素</t>
  </si>
  <si>
    <t>成本类别</t>
  </si>
  <si>
    <t>明细</t>
  </si>
  <si>
    <t>年费用(万元)</t>
  </si>
  <si>
    <t>备注</t>
  </si>
  <si>
    <t>Pre-A轮</t>
  </si>
  <si>
    <t>已完成</t>
  </si>
  <si>
    <t>早期</t>
  </si>
  <si>
    <t>短期</t>
  </si>
  <si>
    <t>2025-2026</t>
  </si>
  <si>
    <t>3,000万元</t>
  </si>
  <si>
    <t>TMCU 24,000台+二合一 9,000台，半自动产线</t>
  </si>
  <si>
    <t>原材料采购</t>
  </si>
  <si>
    <t>MCU/分立器件/PCB/结构件等</t>
  </si>
  <si>
    <t>占营收56%</t>
  </si>
  <si>
    <t>A轮（计划）</t>
  </si>
  <si>
    <t>销售额突破3000万后</t>
  </si>
  <si>
    <t>中期</t>
  </si>
  <si>
    <t>2027-2028</t>
  </si>
  <si>
    <t>1亿元/年</t>
  </si>
  <si>
    <t>TMCU 7万台+二合一 2.5万台+SMT自制+售后</t>
  </si>
  <si>
    <t>直接人工</t>
  </si>
  <si>
    <t>36人双班制</t>
  </si>
  <si>
    <t>占营收6%</t>
  </si>
  <si>
    <t>B轮（预期）</t>
  </si>
  <si>
    <t>5,000-8,000万元</t>
  </si>
  <si>
    <t>销售额突破1亿后</t>
  </si>
  <si>
    <t>长期</t>
  </si>
  <si>
    <t>2029+</t>
  </si>
  <si>
    <t>3-5亿元/年</t>
  </si>
  <si>
    <t>产品线扩展(机器人关节驱动等)，全面自动化</t>
  </si>
  <si>
    <t>制造费用</t>
  </si>
  <si>
    <t>设备折旧(5年)+能耗</t>
  </si>
  <si>
    <t>占营收3%</t>
  </si>
  <si>
    <t>期间费用</t>
  </si>
  <si>
    <t>研发/管理/销售</t>
  </si>
  <si>
    <t>占营收5%</t>
  </si>
  <si>
    <t>经营总成本</t>
  </si>
  <si>
    <t>—</t>
  </si>
  <si>
    <t>占营收70%</t>
  </si>
  <si>
    <t>毛利</t>
  </si>
  <si>
    <t>毛利率30%</t>
  </si>
  <si>
    <t>产能升级设备投资清单(1亿元规模)</t>
  </si>
  <si>
    <t>序号</t>
  </si>
  <si>
    <t>产线/设备类别</t>
  </si>
  <si>
    <t>金额(万元)</t>
  </si>
  <si>
    <t>1</t>
  </si>
  <si>
    <t>TMCU产线(3条,7万台/年)</t>
  </si>
  <si>
    <t>2</t>
  </si>
  <si>
    <t>二合一产线(2条,2.5万台/年)</t>
  </si>
  <si>
    <t>3</t>
  </si>
  <si>
    <t>SMT贴片线(PCBA自制)</t>
  </si>
  <si>
    <t>4</t>
  </si>
  <si>
    <t>老化测试系统扩容</t>
  </si>
  <si>
    <t>5</t>
  </si>
  <si>
    <t>智能仓储/物流系统</t>
  </si>
  <si>
    <t>6</t>
  </si>
  <si>
    <t>实验室/检测设备</t>
  </si>
  <si>
    <t>7</t>
  </si>
  <si>
    <t>MES/信息化系统</t>
  </si>
  <si>
    <t/>
  </si>
  <si>
    <t>合计</t>
  </si>
  <si>
    <t>飏越科技 — 规模化生产盈利与估值测算表</t>
  </si>
  <si>
    <t>TMCU逻辑控制器 + 二合一功率单元 | 软银中安方测算 | 单位：万元（除特别标注外）</t>
  </si>
  <si>
    <t>一、基础参数（黄色单元格为可修改输入项）</t>
  </si>
  <si>
    <t>参数名称</t>
  </si>
  <si>
    <t>数值</t>
  </si>
  <si>
    <t>单位</t>
  </si>
  <si>
    <t>说明</t>
  </si>
  <si>
    <t>【产品售价（含税）】</t>
  </si>
  <si>
    <t>TMCU逻辑控制器售价（含税）</t>
  </si>
  <si>
    <t>元/台</t>
  </si>
  <si>
    <t>热管理逻辑控制核心</t>
  </si>
  <si>
    <t>二合一功率单元售价（含税）</t>
  </si>
  <si>
    <t>变频器+低压电源集成(含风冷水冷板+外壳)</t>
  </si>
  <si>
    <t>【产品销售结构（规模化）】</t>
  </si>
  <si>
    <t>TMCU销售额占比</t>
  </si>
  <si>
    <t>1亿×35%=3500万</t>
  </si>
  <si>
    <t>二合一功率单元销售额占比</t>
  </si>
  <si>
    <t>1亿×50%=5000万</t>
  </si>
  <si>
    <t>售后服务/备品备件占比</t>
  </si>
  <si>
    <t>1亿×15%=1500万</t>
  </si>
  <si>
    <t>年营收目标（含税）</t>
  </si>
  <si>
    <t>万元</t>
  </si>
  <si>
    <t>规模化生产目标</t>
  </si>
  <si>
    <t>【销售台套推算】</t>
  </si>
  <si>
    <t>TMCU年销售台数</t>
  </si>
  <si>
    <t>台</t>
  </si>
  <si>
    <t>二合一年销售台数</t>
  </si>
  <si>
    <t>售后服务年收入</t>
  </si>
  <si>
    <t>【固定投资】——1亿规模基准</t>
  </si>
  <si>
    <t>TMCU产线</t>
  </si>
  <si>
    <t>二合一产线</t>
  </si>
  <si>
    <t>SMT贴片线（PCBA自制）</t>
  </si>
  <si>
    <r>
      <rPr>
        <sz val="9.95"/>
        <color rgb="FF000000"/>
        <rFont val="Arial"/>
        <charset val="134"/>
      </rPr>
      <t>MES/</t>
    </r>
    <r>
      <rPr>
        <sz val="9.95"/>
        <color rgb="FF000000"/>
        <rFont val="HYZhongDengXianKW"/>
        <charset val="134"/>
      </rPr>
      <t>信息化系统</t>
    </r>
  </si>
  <si>
    <t>1亿规模基准的固投合计</t>
  </si>
  <si>
    <t>贴片设备</t>
  </si>
  <si>
    <t>不同规模下的固投金额(包括贴片设备）</t>
  </si>
  <si>
    <t>【成本结构参数（占含税营收比例）】</t>
  </si>
  <si>
    <t>原材料成本占比</t>
  </si>
  <si>
    <t>直接人工成本占比</t>
  </si>
  <si>
    <t>36人双班制生产团队</t>
  </si>
  <si>
    <t>制造费用占比</t>
  </si>
  <si>
    <t>期间费用占比</t>
  </si>
  <si>
    <t>成本合计占比</t>
  </si>
  <si>
    <t>毛利率</t>
  </si>
  <si>
    <t>【设备投资参数】</t>
  </si>
  <si>
    <t>设备总投资</t>
  </si>
  <si>
    <t>7项设备投资合计（见基础信息sheet）</t>
  </si>
  <si>
    <t>设备折旧年限</t>
  </si>
  <si>
    <t>年</t>
  </si>
  <si>
    <t>直线法折旧</t>
  </si>
  <si>
    <t>年折旧额</t>
  </si>
  <si>
    <t>万元/年</t>
  </si>
  <si>
    <t>【税率参数】</t>
  </si>
  <si>
    <t>增值税率</t>
  </si>
  <si>
    <t>标准税率13%</t>
  </si>
  <si>
    <t>城建税及附加率</t>
  </si>
  <si>
    <t>城建7%+教育附加3%+地方教育附加2%=12%</t>
  </si>
  <si>
    <t>印花税率</t>
  </si>
  <si>
    <t>购销合同0.03%</t>
  </si>
  <si>
    <t>企业所得税率</t>
  </si>
  <si>
    <t>标准25%；高新企业可申请15%</t>
  </si>
  <si>
    <t>【运营费用参数】</t>
  </si>
  <si>
    <t>营销费用率（市场+销售）</t>
  </si>
  <si>
    <t>市场推广+销售费用</t>
  </si>
  <si>
    <t>场地年租金</t>
  </si>
  <si>
    <t>850-1300㎡厂房</t>
  </si>
  <si>
    <t>水电通讯年费用</t>
  </si>
  <si>
    <t>含老化测试高能耗</t>
  </si>
  <si>
    <t>办公年费用</t>
  </si>
  <si>
    <t>办公+差旅</t>
  </si>
  <si>
    <t>年研发费用</t>
  </si>
  <si>
    <t>持续研发投入</t>
  </si>
  <si>
    <t>固定运营费用合计（不含营销）</t>
  </si>
  <si>
    <t>二、年度盈利测算</t>
  </si>
  <si>
    <t>项目</t>
  </si>
  <si>
    <t>金额（万元）</t>
  </si>
  <si>
    <t>公式/说明</t>
  </si>
  <si>
    <t>一、含税营业收入</t>
  </si>
  <si>
    <t>年营收目标</t>
  </si>
  <si>
    <t>减：销项税额</t>
  </si>
  <si>
    <t xml:space="preserve">    不含税营业收入</t>
  </si>
  <si>
    <t>含税收入÷(1+增值税率)</t>
  </si>
  <si>
    <t>二、含税生产成本合计</t>
  </si>
  <si>
    <t>各项成本之和</t>
  </si>
  <si>
    <t xml:space="preserve">    原材料成本</t>
  </si>
  <si>
    <t>营收×原材料占比</t>
  </si>
  <si>
    <t xml:space="preserve">    直接人工成本</t>
  </si>
  <si>
    <t>营收×人工占比</t>
  </si>
  <si>
    <t xml:space="preserve">    制造费用</t>
  </si>
  <si>
    <t>营收×制造费用占比</t>
  </si>
  <si>
    <t xml:space="preserve">    期间费用</t>
  </si>
  <si>
    <t>营收×期间费用占比</t>
  </si>
  <si>
    <t>减：进项税额</t>
  </si>
  <si>
    <t xml:space="preserve">    不含税生产成本</t>
  </si>
  <si>
    <t>三、毛利润（含税口径）</t>
  </si>
  <si>
    <t>含税收入-含税成本</t>
  </si>
  <si>
    <t xml:space="preserve">    毛利率</t>
  </si>
  <si>
    <t>四、不含税营业收入</t>
  </si>
  <si>
    <t xml:space="preserve">    不含税毛利润</t>
  </si>
  <si>
    <t xml:space="preserve">    不含税毛利率</t>
  </si>
  <si>
    <t>五、运营费用合计</t>
  </si>
  <si>
    <t>固定+变动</t>
  </si>
  <si>
    <t xml:space="preserve">    固定运营费用</t>
  </si>
  <si>
    <t>场地+水电+办公+研发+折旧</t>
  </si>
  <si>
    <t xml:space="preserve">    变动运营费用（营销）</t>
  </si>
  <si>
    <t>不含税收入×营销费率</t>
  </si>
  <si>
    <t>六、税金及附加</t>
  </si>
  <si>
    <t>城建附加+印花税</t>
  </si>
  <si>
    <t xml:space="preserve">    应交增值税（简化）</t>
  </si>
  <si>
    <t>销项-进项（简化）</t>
  </si>
  <si>
    <t>七、税前利润（EBT）</t>
  </si>
  <si>
    <t>毛利-运营-税金</t>
  </si>
  <si>
    <t>八、所得税</t>
  </si>
  <si>
    <t>九、净利润</t>
  </si>
  <si>
    <t>税前-所得税</t>
  </si>
  <si>
    <t xml:space="preserve">    净利率</t>
  </si>
  <si>
    <t>EBITDA</t>
  </si>
  <si>
    <t>三、公司估值测算</t>
  </si>
  <si>
    <t>估值参数/方法</t>
  </si>
  <si>
    <t>数值（万元）</t>
  </si>
  <si>
    <t>关键参数</t>
  </si>
  <si>
    <t>【估值参数（黄色可修改）】</t>
  </si>
  <si>
    <t>PS倍数（市销率）</t>
  </si>
  <si>
    <t>倍</t>
  </si>
  <si>
    <t>A轮融资基准：5倍PS</t>
  </si>
  <si>
    <t>PE倍数（市盈率）</t>
  </si>
  <si>
    <t>行业平均PE</t>
  </si>
  <si>
    <t>EV/EBITDA倍数</t>
  </si>
  <si>
    <t>行业参考</t>
  </si>
  <si>
    <t>A轮出让股权比例</t>
  </si>
  <si>
    <t>出让10%股权</t>
  </si>
  <si>
    <t>【估值计算（公式自动计算）】</t>
  </si>
  <si>
    <t>PS估值法（基于含税营收）</t>
  </si>
  <si>
    <t>含税营收×PS倍数</t>
  </si>
  <si>
    <t>PE估值法（基于净利润）</t>
  </si>
  <si>
    <t>净利润×PE倍数</t>
  </si>
  <si>
    <t>EV/EBITDA估值法</t>
  </si>
  <si>
    <t>EBITDA×倍数</t>
  </si>
  <si>
    <t>三种方法平均估值</t>
  </si>
  <si>
    <t>PS/PE/EV-EBITDA均值</t>
  </si>
  <si>
    <t>A轮融资额（基于PS估值）</t>
  </si>
  <si>
    <t>PS估值×出让比例</t>
  </si>
  <si>
    <t>A轮投后估值</t>
  </si>
  <si>
    <t>基于PS法的投后估值</t>
  </si>
  <si>
    <t>A轮投前估值</t>
  </si>
  <si>
    <t>投后估值×(1-出让比例)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</si>
</sst>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  <numFmt numFmtId="177" formatCode="0.00_ "/>
    <numFmt numFmtId="178" formatCode="0.0_ "/>
  </numFmts>
  <fonts count="32">
    <font>
      <sz val="11"/>
      <color theme="1"/>
      <name val="宋体"/>
      <charset val="134"/>
      <scheme val="minor"/>
    </font>
    <font>
      <b/>
      <sz val="14"/>
      <color rgb="FFFFFFFF"/>
      <name val="微软雅黑"/>
      <charset val="134"/>
    </font>
    <font>
      <sz val="9"/>
      <color rgb="FF404040"/>
      <name val="微软雅黑"/>
      <charset val="134"/>
    </font>
    <font>
      <b/>
      <sz val="11"/>
      <color rgb="FFFFFFFF"/>
      <name val="微软雅黑"/>
      <charset val="134"/>
    </font>
    <font>
      <b/>
      <sz val="10"/>
      <color rgb="FF1F4E79"/>
      <name val="微软雅黑"/>
      <charset val="134"/>
    </font>
    <font>
      <b/>
      <sz val="10"/>
      <color rgb="FF000000"/>
      <name val="微软雅黑"/>
      <charset val="134"/>
    </font>
    <font>
      <sz val="10"/>
      <color rgb="FF000000"/>
      <name val="微软雅黑"/>
      <charset val="134"/>
    </font>
    <font>
      <sz val="10"/>
      <color rgb="FF0066CC"/>
      <name val="微软雅黑"/>
      <charset val="134"/>
    </font>
    <font>
      <sz val="9"/>
      <color rgb="FF808080"/>
      <name val="微软雅黑"/>
      <charset val="134"/>
    </font>
    <font>
      <sz val="9.95"/>
      <color rgb="FF000000"/>
      <name val="HYZhongDengXianKW"/>
      <charset val="134"/>
    </font>
    <font>
      <sz val="9.95"/>
      <color rgb="FF000000"/>
      <name val="Arial"/>
      <charset val="134"/>
    </font>
    <font>
      <b/>
      <sz val="11"/>
      <color rgb="FF000000"/>
      <name val="微软雅黑"/>
      <charset val="134"/>
    </font>
    <font>
      <sz val="10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1F4E79"/>
        <bgColor rgb="FF1F4E79"/>
      </patternFill>
    </fill>
    <fill>
      <patternFill patternType="solid">
        <fgColor rgb="FF0070C0"/>
        <bgColor rgb="FF0070C0"/>
      </patternFill>
    </fill>
    <fill>
      <patternFill patternType="solid">
        <fgColor rgb="FFD6E4F0"/>
        <bgColor rgb="FFD6E4F0"/>
      </patternFill>
    </fill>
    <fill>
      <patternFill patternType="solid">
        <fgColor rgb="FFFFF2CC"/>
        <bgColor rgb="FFFFF2CC"/>
      </patternFill>
    </fill>
    <fill>
      <patternFill patternType="solid">
        <fgColor rgb="FFF2F2F2"/>
        <bgColor rgb="FFF2F2F2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4C6E7"/>
      </left>
      <right style="thin">
        <color rgb="FFB4C6E7"/>
      </right>
      <top style="thin">
        <color rgb="FFB4C6E7"/>
      </top>
      <bottom style="thin">
        <color rgb="FFB4C6E7"/>
      </bottom>
      <diagonal/>
    </border>
    <border>
      <left style="medium">
        <color rgb="FFB0B0B0"/>
      </left>
      <right style="medium">
        <color rgb="FFB0B0B0"/>
      </right>
      <top style="medium">
        <color rgb="FFB0B0B0"/>
      </top>
      <bottom style="medium">
        <color rgb="FFB0B0B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8" borderId="7" applyNumberFormat="0" applyAlignment="0" applyProtection="0">
      <alignment vertical="center"/>
    </xf>
    <xf numFmtId="0" fontId="22" fillId="9" borderId="8" applyNumberFormat="0" applyAlignment="0" applyProtection="0">
      <alignment vertical="center"/>
    </xf>
    <xf numFmtId="0" fontId="23" fillId="9" borderId="7" applyNumberFormat="0" applyAlignment="0" applyProtection="0">
      <alignment vertical="center"/>
    </xf>
    <xf numFmtId="0" fontId="24" fillId="10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</cellStyleXfs>
  <cellXfs count="34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0" fillId="2" borderId="0" xfId="0" applyFill="1"/>
    <xf numFmtId="0" fontId="2" fillId="0" borderId="0" xfId="0" applyFont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0" fontId="0" fillId="3" borderId="1" xfId="0" applyFill="1" applyBorder="1"/>
    <xf numFmtId="0" fontId="4" fillId="4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0" fillId="0" borderId="1" xfId="0" applyBorder="1"/>
    <xf numFmtId="0" fontId="6" fillId="0" borderId="1" xfId="0" applyFont="1" applyBorder="1"/>
    <xf numFmtId="4" fontId="7" fillId="5" borderId="1" xfId="0" applyNumberFormat="1" applyFont="1" applyFill="1" applyBorder="1"/>
    <xf numFmtId="176" fontId="7" fillId="5" borderId="1" xfId="0" applyNumberFormat="1" applyFont="1" applyFill="1" applyBorder="1"/>
    <xf numFmtId="3" fontId="6" fillId="0" borderId="1" xfId="0" applyNumberFormat="1" applyFont="1" applyBorder="1"/>
    <xf numFmtId="0" fontId="8" fillId="0" borderId="1" xfId="0" applyFont="1" applyBorder="1"/>
    <xf numFmtId="4" fontId="6" fillId="0" borderId="1" xfId="0" applyNumberFormat="1" applyFont="1" applyBorder="1"/>
    <xf numFmtId="49" fontId="8" fillId="0" borderId="1" xfId="0" applyNumberFormat="1" applyFont="1" applyBorder="1"/>
    <xf numFmtId="0" fontId="9" fillId="0" borderId="0" xfId="0" applyFont="1"/>
    <xf numFmtId="177" fontId="7" fillId="5" borderId="1" xfId="0" applyNumberFormat="1" applyFont="1" applyFill="1" applyBorder="1" applyAlignment="1" applyProtection="1"/>
    <xf numFmtId="177" fontId="7" fillId="5" borderId="1" xfId="0" applyNumberFormat="1" applyFont="1" applyFill="1" applyBorder="1"/>
    <xf numFmtId="0" fontId="10" fillId="0" borderId="0" xfId="0" applyFont="1"/>
    <xf numFmtId="178" fontId="7" fillId="0" borderId="1" xfId="0" applyNumberFormat="1" applyFont="1" applyFill="1" applyBorder="1"/>
    <xf numFmtId="0" fontId="5" fillId="0" borderId="0" xfId="0" applyFont="1"/>
    <xf numFmtId="176" fontId="5" fillId="0" borderId="1" xfId="0" applyNumberFormat="1" applyFont="1" applyBorder="1"/>
    <xf numFmtId="3" fontId="7" fillId="5" borderId="1" xfId="0" applyNumberFormat="1" applyFont="1" applyFill="1" applyBorder="1"/>
    <xf numFmtId="10" fontId="7" fillId="5" borderId="1" xfId="0" applyNumberFormat="1" applyFont="1" applyFill="1" applyBorder="1"/>
    <xf numFmtId="4" fontId="5" fillId="0" borderId="1" xfId="0" applyNumberFormat="1" applyFont="1" applyBorder="1"/>
    <xf numFmtId="0" fontId="11" fillId="0" borderId="2" xfId="0" applyFont="1" applyFill="1" applyBorder="1" applyAlignment="1">
      <alignment horizontal="center" vertical="center" wrapText="1"/>
    </xf>
    <xf numFmtId="176" fontId="6" fillId="0" borderId="1" xfId="0" applyNumberFormat="1" applyFont="1" applyBorder="1"/>
    <xf numFmtId="0" fontId="12" fillId="0" borderId="3" xfId="0" applyFont="1" applyBorder="1" applyAlignment="1">
      <alignment wrapText="1"/>
    </xf>
    <xf numFmtId="3" fontId="5" fillId="0" borderId="1" xfId="0" applyNumberFormat="1" applyFont="1" applyBorder="1"/>
    <xf numFmtId="0" fontId="4" fillId="4" borderId="1" xfId="0" applyFont="1" applyFill="1" applyBorder="1"/>
    <xf numFmtId="0" fontId="4" fillId="4" borderId="0" xfId="0" applyFont="1" applyFill="1" applyAlignment="1">
      <alignment horizontal="center" vertical="center" wrapText="1"/>
    </xf>
    <xf numFmtId="0" fontId="0" fillId="4" borderId="0" xfId="0" applyFill="1"/>
    <xf numFmtId="0" fontId="4" fillId="6" borderId="1" xfId="0" applyFont="1" applyFill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N21"/>
  <sheetViews>
    <sheetView zoomScale="76" zoomScaleNormal="76" topLeftCell="A28" workbookViewId="0">
      <selection activeCell="G3" sqref="G3"/>
    </sheetView>
  </sheetViews>
  <sheetFormatPr defaultColWidth="9" defaultRowHeight="14.4"/>
  <cols>
    <col min="1" max="1" width="3" customWidth="1"/>
    <col min="2" max="2" width="16" customWidth="1"/>
    <col min="3" max="3" width="26.8888888888889" customWidth="1"/>
    <col min="4" max="4" width="20.5555555555556" customWidth="1"/>
    <col min="5" max="5" width="5" customWidth="1"/>
    <col min="6" max="6" width="10" customWidth="1"/>
    <col min="7" max="7" width="11.5555555555556" customWidth="1"/>
    <col min="8" max="8" width="14" customWidth="1"/>
    <col min="9" max="9" width="45.5555555555556" customWidth="1"/>
    <col min="10" max="10" width="5" customWidth="1"/>
    <col min="11" max="11" width="14" customWidth="1"/>
    <col min="12" max="12" width="22" customWidth="1"/>
    <col min="13" max="13" width="14" customWidth="1"/>
    <col min="14" max="14" width="18" customWidth="1"/>
  </cols>
  <sheetData>
    <row r="1" ht="20.4" spans="2:14">
      <c r="B1" s="1" t="s">
        <v>0</v>
      </c>
      <c r="C1" s="2"/>
      <c r="D1" s="2"/>
    </row>
    <row r="2" spans="2:14">
      <c r="B2" s="3" t="s">
        <v>1</v>
      </c>
    </row>
    <row r="4" ht="15.6" spans="2:14">
      <c r="B4" s="30" t="s">
        <v>2</v>
      </c>
      <c r="C4" s="30" t="s">
        <v>3</v>
      </c>
      <c r="D4" s="30" t="s">
        <v>4</v>
      </c>
      <c r="F4" s="30" t="s">
        <v>5</v>
      </c>
      <c r="G4" s="30" t="s">
        <v>6</v>
      </c>
      <c r="H4" s="30" t="s">
        <v>7</v>
      </c>
      <c r="I4" s="30" t="s">
        <v>8</v>
      </c>
      <c r="K4" s="30" t="s">
        <v>9</v>
      </c>
      <c r="L4" s="30" t="s">
        <v>10</v>
      </c>
      <c r="M4" s="30" t="s">
        <v>11</v>
      </c>
      <c r="N4" s="30" t="s">
        <v>12</v>
      </c>
    </row>
    <row r="5" ht="15" spans="2:14">
      <c r="B5" s="9" t="s">
        <v>13</v>
      </c>
      <c r="C5" s="9" t="s">
        <v>14</v>
      </c>
      <c r="D5" s="9" t="s">
        <v>15</v>
      </c>
      <c r="F5" s="9" t="s">
        <v>16</v>
      </c>
      <c r="G5" s="9" t="s">
        <v>17</v>
      </c>
      <c r="H5" s="9" t="s">
        <v>18</v>
      </c>
      <c r="I5" s="9" t="s">
        <v>19</v>
      </c>
      <c r="K5" s="9" t="s">
        <v>20</v>
      </c>
      <c r="L5" s="9" t="s">
        <v>21</v>
      </c>
      <c r="M5" s="9">
        <v>5600</v>
      </c>
      <c r="N5" s="9" t="s">
        <v>22</v>
      </c>
    </row>
    <row r="6" ht="15" spans="2:14">
      <c r="B6" s="9" t="s">
        <v>23</v>
      </c>
      <c r="C6" s="9" t="s">
        <v>18</v>
      </c>
      <c r="D6" s="9" t="s">
        <v>24</v>
      </c>
      <c r="F6" s="9" t="s">
        <v>25</v>
      </c>
      <c r="G6" s="9" t="s">
        <v>26</v>
      </c>
      <c r="H6" s="9" t="s">
        <v>27</v>
      </c>
      <c r="I6" s="9" t="s">
        <v>28</v>
      </c>
      <c r="K6" s="9" t="s">
        <v>29</v>
      </c>
      <c r="L6" s="9" t="s">
        <v>30</v>
      </c>
      <c r="M6" s="9">
        <v>600</v>
      </c>
      <c r="N6" s="9" t="s">
        <v>31</v>
      </c>
    </row>
    <row r="7" ht="15" spans="2:14">
      <c r="B7" s="9" t="s">
        <v>32</v>
      </c>
      <c r="C7" s="9" t="s">
        <v>33</v>
      </c>
      <c r="D7" s="9" t="s">
        <v>34</v>
      </c>
      <c r="F7" s="9" t="s">
        <v>35</v>
      </c>
      <c r="G7" s="9" t="s">
        <v>36</v>
      </c>
      <c r="H7" s="9" t="s">
        <v>37</v>
      </c>
      <c r="I7" s="9" t="s">
        <v>38</v>
      </c>
      <c r="K7" s="9" t="s">
        <v>39</v>
      </c>
      <c r="L7" s="9" t="s">
        <v>40</v>
      </c>
      <c r="M7" s="9">
        <v>300</v>
      </c>
      <c r="N7" s="9" t="s">
        <v>41</v>
      </c>
    </row>
    <row r="8" ht="15" spans="2:14">
      <c r="K8" s="9" t="s">
        <v>42</v>
      </c>
      <c r="L8" s="9" t="s">
        <v>43</v>
      </c>
      <c r="M8" s="9">
        <v>500</v>
      </c>
      <c r="N8" s="9" t="s">
        <v>44</v>
      </c>
    </row>
    <row r="9" ht="15.6" spans="2:14">
      <c r="K9" s="7" t="s">
        <v>45</v>
      </c>
      <c r="L9" s="7" t="s">
        <v>46</v>
      </c>
      <c r="M9" s="7">
        <v>7000</v>
      </c>
      <c r="N9" s="7" t="s">
        <v>47</v>
      </c>
    </row>
    <row r="10" ht="15.6" spans="2:14">
      <c r="K10" s="7" t="s">
        <v>48</v>
      </c>
      <c r="L10" s="7" t="s">
        <v>46</v>
      </c>
      <c r="M10" s="7">
        <v>3000</v>
      </c>
      <c r="N10" s="7" t="s">
        <v>49</v>
      </c>
    </row>
    <row r="12" ht="15.6" spans="2:14">
      <c r="B12" s="31" t="s">
        <v>50</v>
      </c>
      <c r="C12" s="32"/>
      <c r="D12" s="32"/>
    </row>
    <row r="13" ht="15.6" spans="2:14">
      <c r="B13" s="33" t="s">
        <v>51</v>
      </c>
      <c r="C13" s="33" t="s">
        <v>52</v>
      </c>
      <c r="D13" s="33" t="s">
        <v>53</v>
      </c>
    </row>
    <row r="14" ht="15" spans="2:14">
      <c r="B14" s="9" t="s">
        <v>54</v>
      </c>
      <c r="C14" s="9" t="s">
        <v>55</v>
      </c>
      <c r="D14" s="9">
        <v>150</v>
      </c>
    </row>
    <row r="15" ht="15" spans="2:14">
      <c r="B15" s="9" t="s">
        <v>56</v>
      </c>
      <c r="C15" s="9" t="s">
        <v>57</v>
      </c>
      <c r="D15" s="9">
        <v>350</v>
      </c>
    </row>
    <row r="16" ht="15" spans="2:14">
      <c r="B16" s="9" t="s">
        <v>58</v>
      </c>
      <c r="C16" s="9" t="s">
        <v>59</v>
      </c>
      <c r="D16" s="9">
        <v>500</v>
      </c>
    </row>
    <row r="17" ht="15" spans="2:4">
      <c r="B17" s="9" t="s">
        <v>60</v>
      </c>
      <c r="C17" s="9" t="s">
        <v>61</v>
      </c>
      <c r="D17" s="9">
        <v>100</v>
      </c>
    </row>
    <row r="18" ht="15" spans="2:4">
      <c r="B18" s="9" t="s">
        <v>62</v>
      </c>
      <c r="C18" s="9" t="s">
        <v>63</v>
      </c>
      <c r="D18" s="9">
        <v>100</v>
      </c>
    </row>
    <row r="19" ht="15" spans="2:4">
      <c r="B19" s="9" t="s">
        <v>64</v>
      </c>
      <c r="C19" s="9" t="s">
        <v>65</v>
      </c>
      <c r="D19" s="9">
        <v>280</v>
      </c>
    </row>
    <row r="20" ht="15" spans="2:4">
      <c r="B20" s="9" t="s">
        <v>66</v>
      </c>
      <c r="C20" s="9" t="s">
        <v>67</v>
      </c>
      <c r="D20" s="9">
        <v>50</v>
      </c>
    </row>
    <row r="21" ht="15.6" spans="2:4">
      <c r="B21" s="7" t="s">
        <v>68</v>
      </c>
      <c r="C21" s="7" t="s">
        <v>69</v>
      </c>
      <c r="D21" s="7">
        <v>1530</v>
      </c>
    </row>
  </sheetData>
  <mergeCells count="3">
    <mergeCell ref="B1:D1"/>
    <mergeCell ref="B2:D2"/>
    <mergeCell ref="B12:D1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J113"/>
  <sheetViews>
    <sheetView tabSelected="1" workbookViewId="0">
      <pane xSplit="1" ySplit="4" topLeftCell="B98" activePane="bottomRight" state="frozen"/>
      <selection/>
      <selection pane="topRight"/>
      <selection pane="bottomLeft"/>
      <selection pane="bottomRight" activeCell="C28" sqref="C28:C31"/>
    </sheetView>
  </sheetViews>
  <sheetFormatPr defaultColWidth="9" defaultRowHeight="14.4"/>
  <cols>
    <col min="1" max="1" width="3" customWidth="1"/>
    <col min="2" max="2" width="37.6666666666667" customWidth="1"/>
    <col min="3" max="3" width="15" customWidth="1"/>
    <col min="4" max="4" width="24.8888888888889" customWidth="1"/>
    <col min="5" max="5" width="44.7777777777778" customWidth="1"/>
    <col min="6" max="9" width="15" customWidth="1"/>
    <col min="10" max="10" width="24" customWidth="1"/>
  </cols>
  <sheetData>
    <row r="1" ht="20.4" spans="2:10">
      <c r="B1" s="1" t="s">
        <v>70</v>
      </c>
      <c r="C1" s="2"/>
      <c r="D1" s="2"/>
      <c r="E1" s="2"/>
      <c r="F1" s="2"/>
      <c r="G1" s="2"/>
      <c r="H1" s="2"/>
      <c r="I1" s="2"/>
      <c r="J1" s="2"/>
    </row>
    <row r="2" spans="2:10">
      <c r="B2" s="3" t="s">
        <v>71</v>
      </c>
    </row>
    <row r="4" ht="16.2" spans="2:10">
      <c r="B4" s="4" t="s">
        <v>72</v>
      </c>
      <c r="C4" s="5"/>
      <c r="D4" s="5"/>
      <c r="E4" s="5"/>
      <c r="F4" s="5"/>
      <c r="G4" s="5"/>
      <c r="H4" s="5"/>
    </row>
    <row r="5" ht="15.6" spans="2:10">
      <c r="B5" s="6" t="s">
        <v>73</v>
      </c>
      <c r="C5" s="6" t="s">
        <v>74</v>
      </c>
      <c r="D5" s="6" t="s">
        <v>75</v>
      </c>
      <c r="E5" s="6" t="s">
        <v>76</v>
      </c>
    </row>
    <row r="6" ht="15.6" spans="2:10">
      <c r="B6" s="7" t="s">
        <v>77</v>
      </c>
      <c r="C6" s="8" t="s">
        <v>68</v>
      </c>
      <c r="D6" s="8" t="s">
        <v>68</v>
      </c>
      <c r="E6" s="8" t="s">
        <v>68</v>
      </c>
    </row>
    <row r="7" ht="15" spans="2:10">
      <c r="B7" s="9" t="s">
        <v>78</v>
      </c>
      <c r="C7" s="10"/>
      <c r="D7" s="9" t="s">
        <v>79</v>
      </c>
      <c r="E7" s="9" t="s">
        <v>80</v>
      </c>
    </row>
    <row r="8" ht="15" spans="2:10">
      <c r="B8" s="9" t="s">
        <v>81</v>
      </c>
      <c r="C8" s="10"/>
      <c r="D8" s="9" t="s">
        <v>79</v>
      </c>
      <c r="E8" s="9" t="s">
        <v>82</v>
      </c>
    </row>
    <row r="10" ht="15.6" spans="2:10">
      <c r="B10" s="7" t="s">
        <v>83</v>
      </c>
      <c r="C10" s="8"/>
      <c r="D10" s="8" t="s">
        <v>68</v>
      </c>
      <c r="E10" s="8" t="s">
        <v>68</v>
      </c>
    </row>
    <row r="11" ht="15" spans="2:10">
      <c r="B11" s="9" t="s">
        <v>84</v>
      </c>
      <c r="C11" s="11"/>
      <c r="D11" s="9" t="s">
        <v>68</v>
      </c>
      <c r="E11" s="9" t="s">
        <v>85</v>
      </c>
    </row>
    <row r="12" ht="15" spans="2:10">
      <c r="B12" s="9" t="s">
        <v>86</v>
      </c>
      <c r="C12" s="11"/>
      <c r="D12" s="9" t="s">
        <v>68</v>
      </c>
      <c r="E12" s="9" t="s">
        <v>87</v>
      </c>
    </row>
    <row r="13" ht="15" spans="2:10">
      <c r="B13" s="9" t="s">
        <v>88</v>
      </c>
      <c r="C13" s="11"/>
      <c r="D13" s="9" t="s">
        <v>68</v>
      </c>
      <c r="E13" s="9" t="s">
        <v>89</v>
      </c>
    </row>
    <row r="14" ht="15" spans="2:10">
      <c r="B14" s="9" t="s">
        <v>90</v>
      </c>
      <c r="C14" s="10"/>
      <c r="D14" s="9" t="s">
        <v>91</v>
      </c>
      <c r="E14" s="9" t="s">
        <v>92</v>
      </c>
    </row>
    <row r="16" ht="15.6" spans="2:10">
      <c r="B16" s="7" t="s">
        <v>93</v>
      </c>
      <c r="C16" s="8" t="s">
        <v>68</v>
      </c>
      <c r="D16" s="8" t="s">
        <v>68</v>
      </c>
      <c r="E16" s="8" t="s">
        <v>68</v>
      </c>
    </row>
    <row r="17" ht="15" spans="2:5">
      <c r="B17" s="9" t="s">
        <v>94</v>
      </c>
      <c r="C17" s="12" t="e">
        <f>$C$14*$C$11/$C$7*10000</f>
        <v>#DIV/0!</v>
      </c>
      <c r="D17" s="9" t="s">
        <v>95</v>
      </c>
      <c r="E17" s="13"/>
    </row>
    <row r="18" ht="15" spans="2:5">
      <c r="B18" s="9" t="s">
        <v>96</v>
      </c>
      <c r="C18" s="12" t="e">
        <f>$C$14*$C$12/$C$8*10000</f>
        <v>#DIV/0!</v>
      </c>
      <c r="D18" s="9" t="s">
        <v>95</v>
      </c>
      <c r="E18" s="13"/>
    </row>
    <row r="19" ht="15" spans="2:5">
      <c r="B19" s="9" t="s">
        <v>97</v>
      </c>
      <c r="C19" s="14">
        <f>$C$14*$C$13</f>
        <v>0</v>
      </c>
      <c r="D19" s="9" t="s">
        <v>91</v>
      </c>
      <c r="E19" s="15" t="str" cm="1">
        <f t="array" ref="E19">"年营收×售后占比"</f>
        <v>年营收×售后占比</v>
      </c>
    </row>
    <row r="21" ht="15.6" spans="2:5">
      <c r="B21" s="7" t="s">
        <v>98</v>
      </c>
      <c r="C21" s="8" t="s">
        <v>68</v>
      </c>
      <c r="D21" s="8" t="s">
        <v>68</v>
      </c>
      <c r="E21" s="8" t="s">
        <v>68</v>
      </c>
    </row>
    <row r="22" ht="15" spans="2:5">
      <c r="B22" s="16" t="s">
        <v>99</v>
      </c>
      <c r="C22" s="17"/>
      <c r="D22" s="9" t="s">
        <v>91</v>
      </c>
      <c r="E22" s="9"/>
    </row>
    <row r="23" ht="15" spans="2:5">
      <c r="B23" s="9" t="s">
        <v>100</v>
      </c>
      <c r="C23" s="17"/>
      <c r="D23" s="9" t="s">
        <v>91</v>
      </c>
      <c r="E23" s="9"/>
    </row>
    <row r="24" ht="15" spans="2:5">
      <c r="B24" s="16" t="s">
        <v>101</v>
      </c>
      <c r="C24" s="18"/>
      <c r="D24" s="9" t="s">
        <v>91</v>
      </c>
      <c r="E24" s="9"/>
    </row>
    <row r="25" ht="15" spans="2:5">
      <c r="B25" s="16" t="s">
        <v>61</v>
      </c>
      <c r="C25" s="18"/>
      <c r="D25" s="9" t="s">
        <v>91</v>
      </c>
      <c r="E25" s="9"/>
    </row>
    <row r="26" ht="15" spans="2:5">
      <c r="B26" s="16" t="s">
        <v>63</v>
      </c>
      <c r="C26" s="18"/>
      <c r="D26" s="9" t="s">
        <v>91</v>
      </c>
      <c r="E26" s="9"/>
    </row>
    <row r="27" ht="15" spans="2:5">
      <c r="B27" s="16" t="s">
        <v>65</v>
      </c>
      <c r="C27" s="18"/>
      <c r="D27" s="9" t="s">
        <v>91</v>
      </c>
      <c r="E27" s="9"/>
    </row>
    <row r="28" ht="15" spans="2:5">
      <c r="B28" s="19" t="s">
        <v>102</v>
      </c>
      <c r="C28" s="20"/>
      <c r="D28" s="9" t="s">
        <v>91</v>
      </c>
      <c r="E28" s="9"/>
    </row>
    <row r="29" ht="15.6" spans="2:5">
      <c r="B29" s="21" t="s">
        <v>103</v>
      </c>
      <c r="C29" s="20"/>
      <c r="D29" s="9" t="s">
        <v>91</v>
      </c>
      <c r="E29" s="9"/>
    </row>
    <row r="30" ht="15.6" spans="2:5">
      <c r="B30" s="21" t="s">
        <v>104</v>
      </c>
      <c r="C30" s="20"/>
      <c r="D30" s="9" t="s">
        <v>91</v>
      </c>
      <c r="E30" s="9"/>
    </row>
    <row r="31" ht="15.6" spans="2:5">
      <c r="B31" s="21" t="s">
        <v>105</v>
      </c>
      <c r="C31"/>
      <c r="D31" s="9" t="s">
        <v>91</v>
      </c>
      <c r="E31" s="9"/>
    </row>
    <row r="32" ht="15.6" spans="2:5">
      <c r="B32" s="7" t="s">
        <v>106</v>
      </c>
      <c r="D32" s="9"/>
      <c r="E32" s="9"/>
    </row>
    <row r="33" ht="15" spans="2:5">
      <c r="B33" s="9" t="s">
        <v>107</v>
      </c>
      <c r="C33" s="11">
        <v>0.56</v>
      </c>
      <c r="D33" s="9" t="s">
        <v>68</v>
      </c>
      <c r="E33" s="9" t="s">
        <v>21</v>
      </c>
    </row>
    <row r="34" ht="15" spans="2:5">
      <c r="B34" s="9" t="s">
        <v>108</v>
      </c>
      <c r="C34" s="11">
        <v>0.06</v>
      </c>
      <c r="D34" s="9" t="s">
        <v>68</v>
      </c>
      <c r="E34" s="9" t="s">
        <v>109</v>
      </c>
    </row>
    <row r="35" ht="15" spans="2:5">
      <c r="B35" s="9" t="s">
        <v>110</v>
      </c>
      <c r="C35" s="11">
        <v>0.03</v>
      </c>
      <c r="D35" s="9" t="s">
        <v>68</v>
      </c>
      <c r="E35" s="9" t="s">
        <v>40</v>
      </c>
    </row>
    <row r="36" ht="15" spans="2:5">
      <c r="B36" s="9" t="s">
        <v>111</v>
      </c>
      <c r="C36" s="11">
        <v>0.05</v>
      </c>
      <c r="D36" s="9" t="s">
        <v>68</v>
      </c>
      <c r="E36" s="9" t="s">
        <v>43</v>
      </c>
    </row>
    <row r="37" ht="15.6" spans="2:5">
      <c r="B37" s="7" t="s">
        <v>112</v>
      </c>
      <c r="C37" s="22">
        <f>SUM(C33:C36)</f>
        <v>0.7</v>
      </c>
      <c r="D37" s="8" t="s">
        <v>68</v>
      </c>
      <c r="E37" s="13"/>
    </row>
    <row r="38" ht="15.6" spans="2:5">
      <c r="B38" s="7" t="s">
        <v>113</v>
      </c>
      <c r="C38" s="22">
        <f>1-C37</f>
        <v>0.3</v>
      </c>
      <c r="D38" s="8" t="s">
        <v>68</v>
      </c>
      <c r="E38" s="13"/>
    </row>
    <row r="40" ht="15.6" spans="2:5">
      <c r="B40" s="7" t="s">
        <v>114</v>
      </c>
      <c r="C40" s="8" t="s">
        <v>68</v>
      </c>
      <c r="D40" s="8" t="s">
        <v>68</v>
      </c>
      <c r="E40" s="8" t="s">
        <v>68</v>
      </c>
    </row>
    <row r="41" ht="15" spans="2:5">
      <c r="B41" s="9" t="s">
        <v>115</v>
      </c>
      <c r="C41" s="10">
        <f>C31</f>
        <v>0</v>
      </c>
      <c r="D41" s="9" t="s">
        <v>91</v>
      </c>
      <c r="E41" s="9" t="s">
        <v>116</v>
      </c>
    </row>
    <row r="42" ht="15" spans="2:5">
      <c r="B42" s="9" t="s">
        <v>117</v>
      </c>
      <c r="C42" s="23">
        <v>10</v>
      </c>
      <c r="D42" s="9" t="s">
        <v>118</v>
      </c>
      <c r="E42" s="9" t="s">
        <v>119</v>
      </c>
    </row>
    <row r="43" ht="15" spans="2:5">
      <c r="B43" s="9" t="s">
        <v>120</v>
      </c>
      <c r="C43" s="14">
        <f>$C$41/$C$42</f>
        <v>0</v>
      </c>
      <c r="D43" s="9" t="s">
        <v>121</v>
      </c>
      <c r="E43" s="13"/>
    </row>
    <row r="45" ht="15.6" spans="2:5">
      <c r="B45" s="7" t="s">
        <v>122</v>
      </c>
      <c r="C45" s="8" t="s">
        <v>68</v>
      </c>
      <c r="D45" s="8" t="s">
        <v>68</v>
      </c>
      <c r="E45" s="8" t="s">
        <v>68</v>
      </c>
    </row>
    <row r="46" ht="15" spans="2:5">
      <c r="B46" s="9" t="s">
        <v>123</v>
      </c>
      <c r="C46" s="11">
        <v>0.13</v>
      </c>
      <c r="D46" s="9" t="s">
        <v>68</v>
      </c>
      <c r="E46" s="9" t="s">
        <v>124</v>
      </c>
    </row>
    <row r="47" ht="15" spans="2:5">
      <c r="B47" s="9" t="s">
        <v>125</v>
      </c>
      <c r="C47" s="11">
        <v>0.12</v>
      </c>
      <c r="D47" s="9" t="s">
        <v>68</v>
      </c>
      <c r="E47" s="9" t="s">
        <v>126</v>
      </c>
    </row>
    <row r="48" ht="15" spans="2:5">
      <c r="B48" s="9" t="s">
        <v>127</v>
      </c>
      <c r="C48" s="24">
        <v>0.0003</v>
      </c>
      <c r="D48" s="9" t="s">
        <v>68</v>
      </c>
      <c r="E48" s="9" t="s">
        <v>128</v>
      </c>
    </row>
    <row r="49" ht="15" spans="2:7">
      <c r="B49" s="9" t="s">
        <v>129</v>
      </c>
      <c r="C49" s="11">
        <v>0.25</v>
      </c>
      <c r="D49" s="9" t="s">
        <v>68</v>
      </c>
      <c r="E49" s="9" t="s">
        <v>130</v>
      </c>
    </row>
    <row r="51" ht="15.6" spans="2:7">
      <c r="B51" s="7" t="s">
        <v>131</v>
      </c>
      <c r="C51" s="8" t="s">
        <v>68</v>
      </c>
      <c r="D51" s="8" t="s">
        <v>68</v>
      </c>
      <c r="E51" s="8" t="s">
        <v>68</v>
      </c>
    </row>
    <row r="52" ht="15" spans="2:7">
      <c r="B52" s="9" t="s">
        <v>132</v>
      </c>
      <c r="C52" s="11">
        <v>0.05</v>
      </c>
      <c r="D52" s="9" t="s">
        <v>68</v>
      </c>
      <c r="E52" s="9" t="s">
        <v>133</v>
      </c>
    </row>
    <row r="53" ht="15" spans="2:7">
      <c r="B53" s="9" t="s">
        <v>134</v>
      </c>
      <c r="C53" s="10">
        <v>80</v>
      </c>
      <c r="D53" s="9" t="s">
        <v>121</v>
      </c>
      <c r="E53" s="9" t="s">
        <v>135</v>
      </c>
    </row>
    <row r="54" ht="15" spans="2:7">
      <c r="B54" s="9" t="s">
        <v>136</v>
      </c>
      <c r="C54" s="10">
        <v>30</v>
      </c>
      <c r="D54" s="9" t="s">
        <v>121</v>
      </c>
      <c r="E54" s="9" t="s">
        <v>137</v>
      </c>
    </row>
    <row r="55" ht="15" spans="2:7">
      <c r="B55" s="9" t="s">
        <v>138</v>
      </c>
      <c r="C55" s="10">
        <v>20</v>
      </c>
      <c r="D55" s="9" t="s">
        <v>121</v>
      </c>
      <c r="E55" s="9" t="s">
        <v>139</v>
      </c>
    </row>
    <row r="56" ht="15" spans="2:7">
      <c r="B56" s="9" t="s">
        <v>140</v>
      </c>
      <c r="C56" s="10">
        <v>300</v>
      </c>
      <c r="D56" s="9" t="s">
        <v>121</v>
      </c>
      <c r="E56" s="9" t="s">
        <v>141</v>
      </c>
    </row>
    <row r="57" ht="15.6" spans="2:7">
      <c r="B57" s="7" t="s">
        <v>142</v>
      </c>
      <c r="C57" s="25">
        <f>SUM($C$53:$C$56)+$C$43</f>
        <v>430</v>
      </c>
      <c r="D57" s="9" t="s">
        <v>121</v>
      </c>
      <c r="E57" s="13"/>
    </row>
    <row r="59" ht="16.2" spans="2:7">
      <c r="B59" s="4" t="s">
        <v>143</v>
      </c>
      <c r="C59" s="5"/>
      <c r="D59" s="5"/>
      <c r="E59" s="5"/>
      <c r="F59" s="5"/>
      <c r="G59" s="5"/>
    </row>
    <row r="60" ht="15.6" spans="2:7">
      <c r="B60" s="6" t="s">
        <v>144</v>
      </c>
      <c r="C60" s="6" t="s">
        <v>145</v>
      </c>
      <c r="D60" s="6" t="s">
        <v>146</v>
      </c>
    </row>
    <row r="61" ht="15.6" spans="2:7">
      <c r="B61" s="7" t="s">
        <v>147</v>
      </c>
      <c r="C61" s="25">
        <f>$C$14</f>
        <v>0</v>
      </c>
      <c r="D61" s="13" t="s">
        <v>148</v>
      </c>
    </row>
    <row r="62" ht="16.2" spans="2:7">
      <c r="B62" s="26" t="s">
        <v>149</v>
      </c>
      <c r="C62" s="25">
        <f>C61/(1+C46)*C46</f>
        <v>0</v>
      </c>
      <c r="D62" s="13"/>
    </row>
    <row r="63" ht="15" spans="2:7">
      <c r="B63" s="9" t="s">
        <v>150</v>
      </c>
      <c r="C63" s="14">
        <f>C61/(1+$C$46)</f>
        <v>0</v>
      </c>
      <c r="D63" s="13" t="s">
        <v>151</v>
      </c>
    </row>
    <row r="64" ht="15" spans="2:7">
      <c r="B64" s="9" t="s">
        <v>68</v>
      </c>
      <c r="C64" s="8" t="s">
        <v>68</v>
      </c>
      <c r="D64" s="13" t="s">
        <v>68</v>
      </c>
    </row>
    <row r="65" ht="15.6" spans="2:4">
      <c r="B65" s="7" t="s">
        <v>152</v>
      </c>
      <c r="C65" s="25">
        <f>C66+C67+C68+C69</f>
        <v>0</v>
      </c>
      <c r="D65" s="13" t="s">
        <v>153</v>
      </c>
    </row>
    <row r="66" ht="15" spans="2:4">
      <c r="B66" s="9" t="s">
        <v>154</v>
      </c>
      <c r="C66" s="14">
        <f>$C$14*$C$33</f>
        <v>0</v>
      </c>
      <c r="D66" s="13" t="s">
        <v>155</v>
      </c>
    </row>
    <row r="67" ht="15" spans="2:4">
      <c r="B67" s="9" t="s">
        <v>156</v>
      </c>
      <c r="C67" s="14">
        <f>$C$14*$C$34</f>
        <v>0</v>
      </c>
      <c r="D67" s="13" t="s">
        <v>157</v>
      </c>
    </row>
    <row r="68" ht="15" spans="2:4">
      <c r="B68" s="9" t="s">
        <v>158</v>
      </c>
      <c r="C68" s="14">
        <f>$C$14*$C$35</f>
        <v>0</v>
      </c>
      <c r="D68" s="13" t="s">
        <v>159</v>
      </c>
    </row>
    <row r="69" ht="15" spans="2:4">
      <c r="B69" s="9" t="s">
        <v>160</v>
      </c>
      <c r="C69" s="14">
        <f>$C$14*$C$36</f>
        <v>0</v>
      </c>
      <c r="D69" s="13" t="s">
        <v>161</v>
      </c>
    </row>
    <row r="70" ht="16.2" spans="2:4">
      <c r="B70" s="26" t="s">
        <v>162</v>
      </c>
      <c r="C70" s="8">
        <f>C65/(1+C46)*C46</f>
        <v>0</v>
      </c>
      <c r="D70" s="13"/>
    </row>
    <row r="71" ht="15" spans="2:4">
      <c r="B71" s="9" t="s">
        <v>163</v>
      </c>
      <c r="C71" s="14">
        <f>C65/(1+$C$46)</f>
        <v>0</v>
      </c>
      <c r="D71" s="13"/>
    </row>
    <row r="72" ht="15.6" spans="2:4">
      <c r="B72" s="7"/>
      <c r="C72" s="25"/>
      <c r="D72" s="13"/>
    </row>
    <row r="73" ht="15.6" spans="2:4">
      <c r="B73" s="7" t="s">
        <v>164</v>
      </c>
      <c r="C73" s="25">
        <f>C61-C65</f>
        <v>0</v>
      </c>
      <c r="D73" s="13" t="s">
        <v>165</v>
      </c>
    </row>
    <row r="74" ht="15" spans="2:4">
      <c r="B74" s="9" t="s">
        <v>166</v>
      </c>
      <c r="C74" s="27">
        <f>IFERROR(C73/C61,0)</f>
        <v>0</v>
      </c>
      <c r="D74" s="13" t="s">
        <v>68</v>
      </c>
    </row>
    <row r="75" ht="15" spans="2:4">
      <c r="B75" s="9" t="s">
        <v>68</v>
      </c>
      <c r="C75" s="8" t="s">
        <v>68</v>
      </c>
      <c r="D75" s="13" t="s">
        <v>68</v>
      </c>
    </row>
    <row r="76" ht="15.6" spans="2:4">
      <c r="B76" s="7" t="s">
        <v>167</v>
      </c>
      <c r="C76" s="25">
        <f>C61/(1+$C$46)</f>
        <v>0</v>
      </c>
      <c r="D76" s="13" t="s">
        <v>68</v>
      </c>
    </row>
    <row r="77" ht="15" spans="2:4">
      <c r="B77" s="9" t="s">
        <v>163</v>
      </c>
      <c r="C77" s="14">
        <f>C71/(1+$C$46)</f>
        <v>0</v>
      </c>
      <c r="D77" s="13" t="s">
        <v>68</v>
      </c>
    </row>
    <row r="78" ht="15.6" spans="2:4">
      <c r="B78" s="7" t="s">
        <v>168</v>
      </c>
      <c r="C78" s="25">
        <f>C76-C71</f>
        <v>0</v>
      </c>
      <c r="D78" s="13" t="s">
        <v>68</v>
      </c>
    </row>
    <row r="79" ht="15" spans="2:4">
      <c r="B79" s="9" t="s">
        <v>169</v>
      </c>
      <c r="C79" s="27">
        <f>IFERROR(C78/C76,0)</f>
        <v>0</v>
      </c>
      <c r="D79" s="13" t="s">
        <v>68</v>
      </c>
    </row>
    <row r="80" ht="15" spans="2:4">
      <c r="B80" s="9" t="s">
        <v>68</v>
      </c>
      <c r="C80" s="8" t="s">
        <v>68</v>
      </c>
      <c r="D80" s="13" t="s">
        <v>68</v>
      </c>
    </row>
    <row r="81" ht="15.6" spans="2:7">
      <c r="B81" s="7" t="s">
        <v>170</v>
      </c>
      <c r="C81" s="25">
        <f>C82+C83</f>
        <v>430</v>
      </c>
      <c r="D81" s="13" t="s">
        <v>171</v>
      </c>
    </row>
    <row r="82" ht="15" spans="2:7">
      <c r="B82" s="9" t="s">
        <v>172</v>
      </c>
      <c r="C82" s="14">
        <f>$C$53+$C$54+$C$55+$C$56+$C$43</f>
        <v>430</v>
      </c>
      <c r="D82" s="13" t="s">
        <v>173</v>
      </c>
    </row>
    <row r="83" ht="15" spans="2:7">
      <c r="B83" s="9" t="s">
        <v>174</v>
      </c>
      <c r="C83" s="14">
        <f>C76*$C$52</f>
        <v>0</v>
      </c>
      <c r="D83" s="13" t="s">
        <v>175</v>
      </c>
    </row>
    <row r="84" ht="15" spans="2:7">
      <c r="B84" s="9" t="s">
        <v>68</v>
      </c>
      <c r="C84" s="8" t="s">
        <v>68</v>
      </c>
      <c r="D84" s="13" t="s">
        <v>68</v>
      </c>
    </row>
    <row r="85" ht="15.6" spans="2:7">
      <c r="B85" s="7" t="s">
        <v>176</v>
      </c>
      <c r="C85" s="25">
        <f>C86*$C$47+C76*$C$48</f>
        <v>0</v>
      </c>
      <c r="D85" s="13" t="s">
        <v>177</v>
      </c>
    </row>
    <row r="86" ht="15" spans="2:7">
      <c r="B86" s="9" t="s">
        <v>178</v>
      </c>
      <c r="C86" s="14">
        <f>MAX(C76*$C$46-C71*$C$46,0)</f>
        <v>0</v>
      </c>
      <c r="D86" s="13" t="s">
        <v>179</v>
      </c>
    </row>
    <row r="87" ht="15" spans="2:7">
      <c r="B87" s="9" t="s">
        <v>68</v>
      </c>
      <c r="C87" s="8" t="s">
        <v>68</v>
      </c>
      <c r="D87" s="13" t="s">
        <v>68</v>
      </c>
    </row>
    <row r="88" ht="15.6" spans="2:7">
      <c r="B88" s="7" t="s">
        <v>180</v>
      </c>
      <c r="C88" s="25">
        <f>C78-C81-C85</f>
        <v>-430</v>
      </c>
      <c r="D88" s="13" t="s">
        <v>181</v>
      </c>
    </row>
    <row r="89" ht="15" spans="2:7">
      <c r="B89" s="9" t="s">
        <v>68</v>
      </c>
      <c r="C89" s="8" t="s">
        <v>68</v>
      </c>
      <c r="D89" s="13" t="s">
        <v>68</v>
      </c>
    </row>
    <row r="90" ht="15.6" spans="2:7">
      <c r="B90" s="7" t="s">
        <v>182</v>
      </c>
      <c r="C90" s="25">
        <f>MAX(C88,0)*$C$49</f>
        <v>0</v>
      </c>
      <c r="D90" s="13" t="s">
        <v>68</v>
      </c>
    </row>
    <row r="91" ht="15" spans="2:7">
      <c r="B91" s="9" t="s">
        <v>68</v>
      </c>
      <c r="C91" s="8" t="s">
        <v>68</v>
      </c>
      <c r="D91" s="13" t="s">
        <v>68</v>
      </c>
    </row>
    <row r="92" ht="15.6" spans="2:7">
      <c r="B92" s="7" t="s">
        <v>183</v>
      </c>
      <c r="C92" s="25">
        <f>C88-C90</f>
        <v>-430</v>
      </c>
      <c r="D92" s="13" t="s">
        <v>184</v>
      </c>
    </row>
    <row r="93" ht="15.75" spans="2:7">
      <c r="B93" s="9" t="s">
        <v>185</v>
      </c>
      <c r="C93" s="27">
        <f>IFERROR(C92/C76,0)</f>
        <v>0</v>
      </c>
      <c r="D93" s="13" t="s">
        <v>68</v>
      </c>
    </row>
    <row r="94" ht="15.75" spans="2:7">
      <c r="B94" s="28" t="s">
        <v>186</v>
      </c>
      <c r="C94">
        <f>C88+C43</f>
        <v>-430</v>
      </c>
    </row>
    <row r="96" ht="16.2" spans="2:7">
      <c r="B96" s="4" t="s">
        <v>187</v>
      </c>
      <c r="C96" s="5"/>
      <c r="D96" s="5"/>
      <c r="E96" s="5"/>
      <c r="F96" s="5"/>
      <c r="G96" s="5"/>
    </row>
    <row r="97" ht="15.6" spans="2:5">
      <c r="B97" s="6" t="s">
        <v>188</v>
      </c>
      <c r="C97" s="6" t="s">
        <v>189</v>
      </c>
      <c r="D97" s="6" t="s">
        <v>190</v>
      </c>
      <c r="E97" s="6" t="s">
        <v>76</v>
      </c>
    </row>
    <row r="98" ht="15.6" spans="2:5">
      <c r="B98" s="7" t="s">
        <v>191</v>
      </c>
      <c r="C98" s="8" t="s">
        <v>68</v>
      </c>
      <c r="D98" s="8" t="s">
        <v>68</v>
      </c>
      <c r="E98" s="8" t="s">
        <v>68</v>
      </c>
    </row>
    <row r="99" ht="15" spans="2:5">
      <c r="B99" s="9" t="s">
        <v>192</v>
      </c>
      <c r="C99" s="23">
        <v>5</v>
      </c>
      <c r="D99" s="9" t="s">
        <v>193</v>
      </c>
      <c r="E99" s="9" t="s">
        <v>194</v>
      </c>
    </row>
    <row r="100" ht="15" spans="2:5">
      <c r="B100" s="9" t="s">
        <v>195</v>
      </c>
      <c r="C100" s="23">
        <v>20</v>
      </c>
      <c r="D100" s="9" t="s">
        <v>193</v>
      </c>
      <c r="E100" s="9" t="s">
        <v>196</v>
      </c>
    </row>
    <row r="101" ht="15" spans="2:5">
      <c r="B101" s="9" t="s">
        <v>197</v>
      </c>
      <c r="C101" s="23">
        <v>12</v>
      </c>
      <c r="D101" s="9" t="s">
        <v>193</v>
      </c>
      <c r="E101" s="9" t="s">
        <v>198</v>
      </c>
    </row>
    <row r="102" ht="15" spans="2:5">
      <c r="B102" s="9" t="s">
        <v>199</v>
      </c>
      <c r="C102" s="11">
        <v>0.1</v>
      </c>
      <c r="D102" s="9" t="s">
        <v>68</v>
      </c>
      <c r="E102" s="9" t="s">
        <v>200</v>
      </c>
    </row>
    <row r="104" ht="15.6" spans="2:5">
      <c r="B104" s="7" t="s">
        <v>201</v>
      </c>
      <c r="C104" s="8" t="s">
        <v>68</v>
      </c>
      <c r="D104" s="8" t="s">
        <v>68</v>
      </c>
      <c r="E104" s="8" t="s">
        <v>68</v>
      </c>
    </row>
    <row r="105" ht="15" spans="2:5">
      <c r="B105" s="9" t="s">
        <v>202</v>
      </c>
      <c r="C105" s="12">
        <f>$C$14*$C$99</f>
        <v>0</v>
      </c>
      <c r="D105" s="13" t="s">
        <v>203</v>
      </c>
      <c r="E105" s="8" t="s">
        <v>68</v>
      </c>
    </row>
    <row r="106" ht="15" spans="2:5">
      <c r="B106" s="9" t="s">
        <v>204</v>
      </c>
      <c r="C106" s="12">
        <f>C92*$C$100</f>
        <v>-8600</v>
      </c>
      <c r="D106" s="13" t="s">
        <v>205</v>
      </c>
      <c r="E106" s="8" t="s">
        <v>68</v>
      </c>
    </row>
    <row r="107" ht="15" spans="2:5">
      <c r="B107" s="9" t="s">
        <v>206</v>
      </c>
      <c r="C107" s="12">
        <f>C94*$C$101</f>
        <v>-5160</v>
      </c>
      <c r="D107" s="13" t="s">
        <v>207</v>
      </c>
      <c r="E107" s="8" t="s">
        <v>68</v>
      </c>
    </row>
    <row r="109" ht="15.6" spans="2:5">
      <c r="B109" s="7" t="s">
        <v>208</v>
      </c>
      <c r="C109" s="29">
        <f>AVERAGE(C105,C106,C107)</f>
        <v>-4586.66666666667</v>
      </c>
      <c r="D109" s="13" t="s">
        <v>209</v>
      </c>
      <c r="E109" s="8" t="s">
        <v>68</v>
      </c>
    </row>
    <row r="111" ht="15.6" spans="2:5">
      <c r="B111" s="7" t="s">
        <v>210</v>
      </c>
      <c r="C111" s="29">
        <f>C105*$C$102</f>
        <v>0</v>
      </c>
      <c r="D111" s="8" t="s">
        <v>68</v>
      </c>
      <c r="E111" s="13" t="s">
        <v>211</v>
      </c>
    </row>
    <row r="112" ht="15.6" spans="2:5">
      <c r="B112" s="7" t="s">
        <v>212</v>
      </c>
      <c r="C112" s="29">
        <f>C105</f>
        <v>0</v>
      </c>
      <c r="D112" s="8" t="s">
        <v>68</v>
      </c>
      <c r="E112" s="13" t="s">
        <v>213</v>
      </c>
    </row>
    <row r="113" ht="15.6" spans="2:5">
      <c r="B113" s="7" t="s">
        <v>214</v>
      </c>
      <c r="C113" s="29">
        <f>C105*(1-$C$102)</f>
        <v>0</v>
      </c>
      <c r="D113" s="8" t="s">
        <v>68</v>
      </c>
      <c r="E113" s="13" t="s">
        <v>215</v>
      </c>
    </row>
  </sheetData>
  <mergeCells count="5">
    <mergeCell ref="B1:J1"/>
    <mergeCell ref="B2:J2"/>
    <mergeCell ref="B4:H4"/>
    <mergeCell ref="B59:G59"/>
    <mergeCell ref="B96:G96"/>
  </mergeCells>
  <pageMargins left="0.75" right="0.75" top="1" bottom="1" header="0.5" footer="0.5"/>
  <pageSetup paperSize="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基础信息</vt:lpstr>
      <vt:lpstr>盈利测算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WPS_135416084</cp:lastModifiedBy>
  <dcterms:created xsi:type="dcterms:W3CDTF">2026-08-27T06:29:00Z</dcterms:created>
  <dcterms:modified xsi:type="dcterms:W3CDTF">2026-08-28T06:35:18Z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F4F2BFE433584DB6A5471F2A42AD3F32_13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